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8 SEPT 2018 - TUTTI SAT" sheetId="1" r:id="rId1"/>
  </sheets>
  <definedNames/>
  <calcPr fullCalcOnLoad="1"/>
</workbook>
</file>

<file path=xl/sharedStrings.xml><?xml version="1.0" encoding="utf-8"?>
<sst xmlns="http://schemas.openxmlformats.org/spreadsheetml/2006/main" count="124" uniqueCount="65">
  <si>
    <t>MEDICINA FIZICA SI REABILITARE        - ACTUALIZARE PUNCTAJ  - SC TUTTI SAT SRL</t>
  </si>
  <si>
    <t xml:space="preserve"> PUNCTAJ</t>
  </si>
  <si>
    <t xml:space="preserve">RAPORT </t>
  </si>
  <si>
    <t>PUNCTAJ</t>
  </si>
  <si>
    <t xml:space="preserve">VALOARE </t>
  </si>
  <si>
    <t>VALOARE</t>
  </si>
  <si>
    <t xml:space="preserve">FURNIZOR </t>
  </si>
  <si>
    <t>Nr.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</si>
  <si>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</si>
  <si>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</si>
  <si>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</si>
  <si>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</si>
  <si>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</si>
  <si>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</si>
  <si>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</si>
  <si>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CONTRACT</t>
  </si>
  <si>
    <t>MAI-</t>
  </si>
  <si>
    <t>crt.</t>
  </si>
  <si>
    <t>SALA</t>
  </si>
  <si>
    <t xml:space="preserve">BAZINUL DE </t>
  </si>
  <si>
    <t>TEHNICE</t>
  </si>
  <si>
    <t>RESURSE</t>
  </si>
  <si>
    <t>UMANE</t>
  </si>
  <si>
    <t>APRILIE</t>
  </si>
  <si>
    <t>AN 2018</t>
  </si>
  <si>
    <t>DEC</t>
  </si>
  <si>
    <t>HIDROKINETO</t>
  </si>
  <si>
    <t>DECEMBRIE 2018</t>
  </si>
  <si>
    <t>SC BIOTERAPIA PLUS SRL</t>
  </si>
  <si>
    <t>&gt;1</t>
  </si>
  <si>
    <t>SC TUTTI SAT SRL</t>
  </si>
  <si>
    <t>SC MEDLIV TERAPIA SRL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</si>
  <si>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</si>
  <si>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</si>
  <si>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</si>
  <si>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</si>
  <si>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</si>
  <si>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</si>
  <si>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>SPITAL ORASEN. ABRUD</t>
  </si>
  <si>
    <t xml:space="preserve">FOND RESURSE </t>
  </si>
  <si>
    <t>TEHNICE 50%</t>
  </si>
  <si>
    <t>LEI</t>
  </si>
  <si>
    <t>UMANE 50%</t>
  </si>
  <si>
    <t xml:space="preserve">TOTAL </t>
  </si>
  <si>
    <t>BUGET AN 2018</t>
  </si>
  <si>
    <t>TRIM. I 2017</t>
  </si>
  <si>
    <t>BUGET APRILIE~DECEMBRIE</t>
  </si>
  <si>
    <t>AVICENA</t>
  </si>
  <si>
    <t>lei</t>
  </si>
  <si>
    <t>IANUARIE</t>
  </si>
  <si>
    <t>FEBRUARIE</t>
  </si>
  <si>
    <t>MARTIE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</si>
  <si>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</si>
  <si>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</si>
  <si>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</si>
  <si>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</si>
  <si>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</si>
  <si>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</si>
  <si>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</si>
  <si>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</si>
  <si>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AN</t>
  </si>
  <si>
    <t>verificare</t>
  </si>
  <si>
    <t>ian-martie</t>
  </si>
  <si>
    <t>apr-dec</t>
  </si>
  <si>
    <t>SC AVICENA SRL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</si>
</sst>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m/yy"/>
    <numFmt numFmtId="165" formatCode="_-* #,##0.00\ _l_e_i_-;\-* #,##0.00\ _l_e_i_-;_-* \-??\ _l_e_i_-;_-@_-"/>
    <numFmt numFmtId="166" formatCode="0.0000"/>
    <numFmt numFmtId="167" formatCode="#,##0.0000"/>
    <numFmt numFmtId="168" formatCode="_-* #,##0.00&quot; lei&quot;_-;\-* #,##0.00&quot; lei&quot;_-;_-* \-??&quot; lei&quot;_-;_-@_-"/>
  </numFmts>
  <fonts count="4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" fontId="3" fillId="0" borderId="21" xfId="42" applyNumberFormat="1" applyFont="1" applyFill="1" applyBorder="1" applyAlignment="1" applyProtection="1">
      <alignment/>
      <protection/>
    </xf>
    <xf numFmtId="166" fontId="3" fillId="0" borderId="22" xfId="42" applyNumberFormat="1" applyFont="1" applyFill="1" applyBorder="1" applyAlignment="1" applyProtection="1">
      <alignment horizontal="right"/>
      <protection/>
    </xf>
    <xf numFmtId="167" fontId="3" fillId="0" borderId="21" xfId="42" applyNumberFormat="1" applyFont="1" applyFill="1" applyBorder="1" applyAlignment="1" applyProtection="1">
      <alignment/>
      <protection/>
    </xf>
    <xf numFmtId="4" fontId="3" fillId="0" borderId="22" xfId="42" applyNumberFormat="1" applyFont="1" applyFill="1" applyBorder="1" applyAlignment="1" applyProtection="1">
      <alignment/>
      <protection/>
    </xf>
    <xf numFmtId="167" fontId="3" fillId="0" borderId="22" xfId="42" applyNumberFormat="1" applyFont="1" applyFill="1" applyBorder="1" applyAlignment="1" applyProtection="1">
      <alignment/>
      <protection/>
    </xf>
    <xf numFmtId="4" fontId="3" fillId="0" borderId="21" xfId="44" applyNumberFormat="1" applyFont="1" applyFill="1" applyBorder="1" applyAlignment="1" applyProtection="1">
      <alignment/>
      <protection/>
    </xf>
    <xf numFmtId="0" fontId="4" fillId="0" borderId="23" xfId="0" applyFont="1" applyBorder="1" applyAlignment="1">
      <alignment/>
    </xf>
    <xf numFmtId="4" fontId="3" fillId="0" borderId="2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24" xfId="42" applyNumberFormat="1" applyFont="1" applyFill="1" applyBorder="1" applyAlignment="1" applyProtection="1">
      <alignment/>
      <protection/>
    </xf>
    <xf numFmtId="166" fontId="7" fillId="0" borderId="25" xfId="42" applyNumberFormat="1" applyFont="1" applyFill="1" applyBorder="1" applyAlignment="1" applyProtection="1">
      <alignment horizontal="right"/>
      <protection/>
    </xf>
    <xf numFmtId="167" fontId="7" fillId="0" borderId="24" xfId="42" applyNumberFormat="1" applyFont="1" applyFill="1" applyBorder="1" applyAlignment="1" applyProtection="1">
      <alignment/>
      <protection/>
    </xf>
    <xf numFmtId="4" fontId="3" fillId="0" borderId="26" xfId="42" applyNumberFormat="1" applyFont="1" applyFill="1" applyBorder="1" applyAlignment="1" applyProtection="1">
      <alignment/>
      <protection/>
    </xf>
    <xf numFmtId="167" fontId="3" fillId="0" borderId="25" xfId="42" applyNumberFormat="1" applyFont="1" applyFill="1" applyBorder="1" applyAlignment="1" applyProtection="1">
      <alignment/>
      <protection/>
    </xf>
    <xf numFmtId="167" fontId="3" fillId="0" borderId="27" xfId="42" applyNumberFormat="1" applyFont="1" applyFill="1" applyBorder="1" applyAlignment="1" applyProtection="1">
      <alignment/>
      <protection/>
    </xf>
    <xf numFmtId="4" fontId="3" fillId="0" borderId="27" xfId="42" applyNumberFormat="1" applyFont="1" applyFill="1" applyBorder="1" applyAlignment="1" applyProtection="1">
      <alignment/>
      <protection/>
    </xf>
    <xf numFmtId="167" fontId="7" fillId="0" borderId="25" xfId="42" applyNumberFormat="1" applyFont="1" applyFill="1" applyBorder="1" applyAlignment="1" applyProtection="1">
      <alignment/>
      <protection/>
    </xf>
    <xf numFmtId="4" fontId="3" fillId="0" borderId="27" xfId="44" applyNumberFormat="1" applyFont="1" applyFill="1" applyBorder="1" applyAlignment="1" applyProtection="1">
      <alignment/>
      <protection/>
    </xf>
    <xf numFmtId="4" fontId="3" fillId="0" borderId="25" xfId="42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4" fontId="3" fillId="0" borderId="24" xfId="0" applyNumberFormat="1" applyFont="1" applyBorder="1" applyAlignment="1">
      <alignment/>
    </xf>
    <xf numFmtId="0" fontId="4" fillId="0" borderId="26" xfId="0" applyFont="1" applyBorder="1" applyAlignment="1">
      <alignment/>
    </xf>
    <xf numFmtId="166" fontId="3" fillId="0" borderId="25" xfId="42" applyNumberFormat="1" applyFont="1" applyFill="1" applyBorder="1" applyAlignment="1" applyProtection="1">
      <alignment horizontal="right"/>
      <protection/>
    </xf>
    <xf numFmtId="167" fontId="3" fillId="0" borderId="24" xfId="42" applyNumberFormat="1" applyFont="1" applyFill="1" applyBorder="1" applyAlignment="1" applyProtection="1">
      <alignment/>
      <protection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9" xfId="0" applyFont="1" applyBorder="1" applyAlignment="1">
      <alignment/>
    </xf>
    <xf numFmtId="166" fontId="3" fillId="0" borderId="26" xfId="42" applyNumberFormat="1" applyFont="1" applyFill="1" applyBorder="1" applyAlignment="1" applyProtection="1">
      <alignment horizontal="right"/>
      <protection/>
    </xf>
    <xf numFmtId="167" fontId="3" fillId="0" borderId="26" xfId="42" applyNumberFormat="1" applyFont="1" applyFill="1" applyBorder="1" applyAlignment="1" applyProtection="1">
      <alignment/>
      <protection/>
    </xf>
    <xf numFmtId="4" fontId="3" fillId="0" borderId="24" xfId="44" applyNumberFormat="1" applyFont="1" applyFill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4" fontId="3" fillId="0" borderId="30" xfId="42" applyNumberFormat="1" applyFont="1" applyFill="1" applyBorder="1" applyAlignment="1" applyProtection="1">
      <alignment/>
      <protection/>
    </xf>
    <xf numFmtId="166" fontId="3" fillId="0" borderId="31" xfId="42" applyNumberFormat="1" applyFont="1" applyFill="1" applyBorder="1" applyAlignment="1" applyProtection="1">
      <alignment horizontal="right"/>
      <protection/>
    </xf>
    <xf numFmtId="167" fontId="3" fillId="0" borderId="30" xfId="42" applyNumberFormat="1" applyFont="1" applyFill="1" applyBorder="1" applyAlignment="1" applyProtection="1">
      <alignment/>
      <protection/>
    </xf>
    <xf numFmtId="4" fontId="3" fillId="0" borderId="31" xfId="42" applyNumberFormat="1" applyFont="1" applyFill="1" applyBorder="1" applyAlignment="1" applyProtection="1">
      <alignment/>
      <protection/>
    </xf>
    <xf numFmtId="167" fontId="3" fillId="0" borderId="19" xfId="42" applyNumberFormat="1" applyFont="1" applyFill="1" applyBorder="1" applyAlignment="1" applyProtection="1">
      <alignment/>
      <protection/>
    </xf>
    <xf numFmtId="167" fontId="3" fillId="0" borderId="17" xfId="42" applyNumberFormat="1" applyFont="1" applyFill="1" applyBorder="1" applyAlignment="1" applyProtection="1">
      <alignment/>
      <protection/>
    </xf>
    <xf numFmtId="4" fontId="3" fillId="0" borderId="17" xfId="42" applyNumberFormat="1" applyFont="1" applyFill="1" applyBorder="1" applyAlignment="1" applyProtection="1">
      <alignment/>
      <protection/>
    </xf>
    <xf numFmtId="4" fontId="3" fillId="0" borderId="17" xfId="44" applyNumberFormat="1" applyFont="1" applyFill="1" applyBorder="1" applyAlignment="1" applyProtection="1">
      <alignment/>
      <protection/>
    </xf>
    <xf numFmtId="4" fontId="3" fillId="0" borderId="19" xfId="42" applyNumberFormat="1" applyFont="1" applyFill="1" applyBorder="1" applyAlignment="1" applyProtection="1">
      <alignment/>
      <protection/>
    </xf>
    <xf numFmtId="0" fontId="4" fillId="0" borderId="32" xfId="0" applyFont="1" applyBorder="1" applyAlignment="1">
      <alignment/>
    </xf>
    <xf numFmtId="4" fontId="3" fillId="0" borderId="3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0" fillId="0" borderId="33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8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2" fillId="34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164" fontId="4" fillId="0" borderId="14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4" fontId="3" fillId="0" borderId="21" xfId="42" applyNumberFormat="1" applyFont="1" applyFill="1" applyBorder="1" applyAlignment="1" applyProtection="1">
      <alignment/>
      <protection/>
    </xf>
    <xf numFmtId="4" fontId="3" fillId="0" borderId="22" xfId="42" applyNumberFormat="1" applyFont="1" applyFill="1" applyBorder="1" applyAlignment="1" applyProtection="1">
      <alignment/>
      <protection/>
    </xf>
    <xf numFmtId="4" fontId="3" fillId="0" borderId="23" xfId="42" applyNumberFormat="1" applyFont="1" applyFill="1" applyBorder="1" applyAlignment="1" applyProtection="1">
      <alignment/>
      <protection/>
    </xf>
    <xf numFmtId="4" fontId="3" fillId="0" borderId="34" xfId="0" applyNumberFormat="1" applyFont="1" applyBorder="1" applyAlignment="1">
      <alignment/>
    </xf>
    <xf numFmtId="4" fontId="3" fillId="0" borderId="21" xfId="44" applyNumberFormat="1" applyFont="1" applyFill="1" applyBorder="1" applyAlignment="1" applyProtection="1">
      <alignment/>
      <protection/>
    </xf>
    <xf numFmtId="4" fontId="5" fillId="35" borderId="35" xfId="0" applyNumberFormat="1" applyFont="1" applyFill="1" applyBorder="1" applyAlignment="1">
      <alignment/>
    </xf>
    <xf numFmtId="4" fontId="3" fillId="35" borderId="36" xfId="0" applyNumberFormat="1" applyFont="1" applyFill="1" applyBorder="1" applyAlignment="1">
      <alignment/>
    </xf>
    <xf numFmtId="0" fontId="4" fillId="35" borderId="36" xfId="0" applyFont="1" applyFill="1" applyBorder="1" applyAlignment="1">
      <alignment/>
    </xf>
    <xf numFmtId="0" fontId="4" fillId="0" borderId="0" xfId="0" applyFont="1" applyBorder="1" applyAlignment="1">
      <alignment/>
    </xf>
    <xf numFmtId="4" fontId="3" fillId="0" borderId="24" xfId="42" applyNumberFormat="1" applyFont="1" applyFill="1" applyBorder="1" applyAlignment="1" applyProtection="1">
      <alignment/>
      <protection/>
    </xf>
    <xf numFmtId="4" fontId="3" fillId="0" borderId="26" xfId="42" applyNumberFormat="1" applyFont="1" applyFill="1" applyBorder="1" applyAlignment="1" applyProtection="1">
      <alignment/>
      <protection/>
    </xf>
    <xf numFmtId="4" fontId="3" fillId="0" borderId="28" xfId="42" applyNumberFormat="1" applyFont="1" applyFill="1" applyBorder="1" applyAlignment="1" applyProtection="1">
      <alignment/>
      <protection/>
    </xf>
    <xf numFmtId="4" fontId="3" fillId="0" borderId="37" xfId="0" applyNumberFormat="1" applyFont="1" applyBorder="1" applyAlignment="1">
      <alignment/>
    </xf>
    <xf numFmtId="4" fontId="3" fillId="0" borderId="24" xfId="44" applyNumberFormat="1" applyFont="1" applyFill="1" applyBorder="1" applyAlignment="1" applyProtection="1">
      <alignment/>
      <protection/>
    </xf>
    <xf numFmtId="0" fontId="4" fillId="35" borderId="36" xfId="0" applyFont="1" applyFill="1" applyBorder="1" applyAlignment="1">
      <alignment/>
    </xf>
    <xf numFmtId="0" fontId="4" fillId="0" borderId="26" xfId="0" applyFont="1" applyBorder="1" applyAlignment="1">
      <alignment/>
    </xf>
    <xf numFmtId="4" fontId="3" fillId="0" borderId="27" xfId="42" applyNumberFormat="1" applyFont="1" applyFill="1" applyBorder="1" applyAlignment="1" applyProtection="1">
      <alignment/>
      <protection/>
    </xf>
    <xf numFmtId="4" fontId="3" fillId="0" borderId="25" xfId="42" applyNumberFormat="1" applyFont="1" applyFill="1" applyBorder="1" applyAlignment="1" applyProtection="1">
      <alignment horizontal="right"/>
      <protection/>
    </xf>
    <xf numFmtId="4" fontId="3" fillId="0" borderId="26" xfId="42" applyNumberFormat="1" applyFont="1" applyFill="1" applyBorder="1" applyAlignment="1" applyProtection="1">
      <alignment horizontal="right"/>
      <protection/>
    </xf>
    <xf numFmtId="0" fontId="4" fillId="0" borderId="25" xfId="0" applyFont="1" applyBorder="1" applyAlignment="1">
      <alignment/>
    </xf>
    <xf numFmtId="4" fontId="3" fillId="0" borderId="30" xfId="42" applyNumberFormat="1" applyFont="1" applyFill="1" applyBorder="1" applyAlignment="1" applyProtection="1">
      <alignment/>
      <protection/>
    </xf>
    <xf numFmtId="4" fontId="3" fillId="0" borderId="31" xfId="42" applyNumberFormat="1" applyFont="1" applyFill="1" applyBorder="1" applyAlignment="1" applyProtection="1">
      <alignment horizontal="right"/>
      <protection/>
    </xf>
    <xf numFmtId="4" fontId="3" fillId="0" borderId="32" xfId="42" applyNumberFormat="1" applyFont="1" applyFill="1" applyBorder="1" applyAlignment="1" applyProtection="1">
      <alignment/>
      <protection/>
    </xf>
    <xf numFmtId="4" fontId="3" fillId="0" borderId="38" xfId="0" applyNumberFormat="1" applyFont="1" applyBorder="1" applyAlignment="1">
      <alignment/>
    </xf>
    <xf numFmtId="4" fontId="3" fillId="0" borderId="30" xfId="44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F4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U51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6.28125" style="0" customWidth="1"/>
    <col min="2" max="2" width="25.140625" style="0" customWidth="1"/>
    <col min="3" max="3" width="14.7109375" style="0" customWidth="1"/>
    <col min="4" max="4" width="12.421875" style="0" customWidth="1"/>
    <col min="5" max="5" width="12.8515625" style="0" customWidth="1"/>
    <col min="6" max="6" width="12.57421875" style="0" customWidth="1"/>
    <col min="7" max="7" width="13.00390625" style="0" customWidth="1"/>
    <col min="8" max="8" width="12.57421875" style="0" customWidth="1"/>
    <col min="9" max="9" width="12.8515625" style="0" customWidth="1"/>
    <col min="10" max="10" width="13.57421875" style="0" customWidth="1"/>
    <col min="11" max="11" width="13.140625" style="0" customWidth="1"/>
    <col min="12" max="12" width="12.57421875" style="0" customWidth="1"/>
    <col min="13" max="13" width="13.421875" style="0" customWidth="1"/>
    <col min="14" max="14" width="14.57421875" style="0" customWidth="1"/>
    <col min="15" max="16" width="14.28125" style="0" customWidth="1"/>
    <col min="17" max="17" width="16.140625" style="0" customWidth="1"/>
    <col min="18" max="18" width="25.8515625" style="0" customWidth="1"/>
    <col min="19" max="19" width="12.57421875" style="0" customWidth="1"/>
    <col min="20" max="20" width="11.7109375" style="0" customWidth="1"/>
  </cols>
  <sheetData>
    <row r="5" spans="2:15" ht="26.25">
      <c r="B5" s="1" t="s">
        <v>0</v>
      </c>
      <c r="E5" s="1"/>
      <c r="F5" s="2"/>
      <c r="G5" s="2"/>
      <c r="H5" s="2"/>
      <c r="I5" s="2"/>
      <c r="O5" s="3"/>
    </row>
    <row r="6" spans="5:15" ht="26.25">
      <c r="E6" s="1"/>
      <c r="F6" s="2"/>
      <c r="G6" s="2"/>
      <c r="H6" s="2"/>
      <c r="I6" s="2"/>
      <c r="O6" s="3"/>
    </row>
    <row r="8" spans="1:19" s="11" customFormat="1" ht="12.75">
      <c r="A8" s="4"/>
      <c r="B8" s="4"/>
      <c r="C8" s="5" t="s">
        <v>1</v>
      </c>
      <c r="D8" s="6" t="s">
        <v>2</v>
      </c>
      <c r="E8" s="7" t="s">
        <v>3</v>
      </c>
      <c r="F8" s="7" t="s">
        <v>3</v>
      </c>
      <c r="G8" s="6" t="s">
        <v>3</v>
      </c>
      <c r="H8" s="8" t="s">
        <v>3</v>
      </c>
      <c r="I8" s="9" t="s">
        <v>4</v>
      </c>
      <c r="J8" s="7" t="s">
        <v>4</v>
      </c>
      <c r="K8" s="5"/>
      <c r="L8" s="8" t="s">
        <v>3</v>
      </c>
      <c r="M8" s="7" t="s">
        <v>4</v>
      </c>
      <c r="N8" s="6" t="s">
        <v>4</v>
      </c>
      <c r="O8" s="7"/>
      <c r="P8" s="10"/>
      <c r="Q8" s="7" t="s">
        <v>5</v>
      </c>
      <c r="R8" s="6" t="s">
        <v>6</v>
      </c>
      <c r="S8" s="4"/>
    </row>
    <row r="9" spans="1:20" s="11" customFormat="1" ht="12.75">
      <c r="A9" s="12" t="s">
        <v>7</v>
      </c>
      <c r="B9" s="13" t="s">
        <v>6</v>
      </c>
      <c r="C9" s="14" t="s">
        <v>8</v>
      </c>
      <c r="D9" s="15" t="s">
        <v>9</v>
      </c>
      <c r="E9" s="13" t="s">
        <v>10</v>
      </c>
      <c r="F9" s="13" t="s">
        <v>11</v>
      </c>
      <c r="G9" s="15" t="s">
        <v>11</v>
      </c>
      <c r="H9" s="16" t="s">
        <v>12</v>
      </c>
      <c r="I9" s="17" t="s">
        <v>13</v>
      </c>
      <c r="J9" s="13" t="s">
        <v>14</v>
      </c>
      <c r="K9" s="14"/>
      <c r="L9" s="18" t="s">
        <v>11</v>
      </c>
      <c r="M9" s="19" t="s">
        <v>13</v>
      </c>
      <c r="N9" s="15" t="s">
        <v>14</v>
      </c>
      <c r="O9" s="13"/>
      <c r="P9" s="20" t="s">
        <v>12</v>
      </c>
      <c r="Q9" s="13" t="s">
        <v>15</v>
      </c>
      <c r="R9" s="15"/>
      <c r="S9" s="21"/>
      <c r="T9" s="11" t="s">
        <v>16</v>
      </c>
    </row>
    <row r="10" spans="1:20" s="11" customFormat="1" ht="12.75">
      <c r="A10" s="12" t="s">
        <v>17</v>
      </c>
      <c r="B10" s="13"/>
      <c r="C10" s="14"/>
      <c r="D10" s="15"/>
      <c r="E10" s="13" t="s">
        <v>14</v>
      </c>
      <c r="F10" s="13" t="s">
        <v>18</v>
      </c>
      <c r="G10" s="15" t="s">
        <v>19</v>
      </c>
      <c r="H10" s="16" t="s">
        <v>14</v>
      </c>
      <c r="I10" s="22"/>
      <c r="J10" s="13" t="s">
        <v>20</v>
      </c>
      <c r="K10" s="14"/>
      <c r="L10" s="18" t="s">
        <v>21</v>
      </c>
      <c r="M10" s="13"/>
      <c r="N10" s="15" t="s">
        <v>22</v>
      </c>
      <c r="O10" s="13"/>
      <c r="P10" s="20" t="s">
        <v>3</v>
      </c>
      <c r="Q10" s="23" t="s">
        <v>23</v>
      </c>
      <c r="R10" s="15"/>
      <c r="S10" s="12" t="s">
        <v>24</v>
      </c>
      <c r="T10" s="11" t="s">
        <v>25</v>
      </c>
    </row>
    <row r="11" spans="1:20" s="11" customFormat="1" ht="12.75">
      <c r="A11" s="24"/>
      <c r="B11" s="25"/>
      <c r="C11" s="26"/>
      <c r="D11" s="27"/>
      <c r="E11" s="25" t="s">
        <v>20</v>
      </c>
      <c r="F11" s="25"/>
      <c r="G11" s="27" t="s">
        <v>26</v>
      </c>
      <c r="H11" s="28" t="s">
        <v>20</v>
      </c>
      <c r="I11" s="29"/>
      <c r="J11" s="24"/>
      <c r="K11" s="26"/>
      <c r="L11" s="30" t="s">
        <v>22</v>
      </c>
      <c r="M11" s="25"/>
      <c r="N11" s="27"/>
      <c r="O11" s="25"/>
      <c r="P11" s="29"/>
      <c r="Q11" s="31" t="s">
        <v>27</v>
      </c>
      <c r="R11" s="27"/>
      <c r="S11" s="21"/>
      <c r="T11" s="11">
        <v>2018</v>
      </c>
    </row>
    <row r="12" spans="1:20" s="43" customFormat="1" ht="12.75">
      <c r="A12" s="32">
        <v>1</v>
      </c>
      <c r="B12" s="33" t="s">
        <v>28</v>
      </c>
      <c r="C12" s="34">
        <v>465</v>
      </c>
      <c r="D12" s="35" t="s">
        <v>29</v>
      </c>
      <c r="E12" s="36">
        <f>C12</f>
        <v>465</v>
      </c>
      <c r="F12" s="37">
        <v>68.57</v>
      </c>
      <c r="G12" s="34">
        <v>0</v>
      </c>
      <c r="H12" s="38">
        <f aca="true" t="shared" si="0" ref="H12:H20">E12+F12+G12</f>
        <v>533.5699999999999</v>
      </c>
      <c r="I12" s="36">
        <v>432.9066</v>
      </c>
      <c r="J12" s="34">
        <f aca="true" t="shared" si="1" ref="J12:J20">H12*I12</f>
        <v>230985.974562</v>
      </c>
      <c r="K12" s="34">
        <v>230985.94</v>
      </c>
      <c r="L12" s="38">
        <v>272.55</v>
      </c>
      <c r="M12" s="36">
        <v>784.4119</v>
      </c>
      <c r="N12" s="34">
        <f aca="true" t="shared" si="2" ref="N12:N20">L12*M12</f>
        <v>213791.463345</v>
      </c>
      <c r="O12" s="39">
        <v>213791.47</v>
      </c>
      <c r="P12" s="37">
        <f aca="true" t="shared" si="3" ref="P12:P20">H12+L12</f>
        <v>806.1199999999999</v>
      </c>
      <c r="Q12" s="34">
        <f aca="true" t="shared" si="4" ref="Q12:Q20">K12+O12</f>
        <v>444777.41000000003</v>
      </c>
      <c r="R12" s="40" t="s">
        <v>28</v>
      </c>
      <c r="S12" s="41">
        <f>Q12+C41+D41+E41</f>
        <v>613074.91</v>
      </c>
      <c r="T12" s="42">
        <f>Q12-F41</f>
        <v>383452.93000000005</v>
      </c>
    </row>
    <row r="13" spans="1:20" s="43" customFormat="1" ht="12.75">
      <c r="A13" s="44">
        <v>2</v>
      </c>
      <c r="B13" s="45" t="s">
        <v>30</v>
      </c>
      <c r="C13" s="46">
        <v>395</v>
      </c>
      <c r="D13" s="47">
        <v>0.9440000000000001</v>
      </c>
      <c r="E13" s="48">
        <f>C13*D13</f>
        <v>372.88000000000005</v>
      </c>
      <c r="F13" s="49">
        <v>68.57</v>
      </c>
      <c r="G13" s="46">
        <v>45.71</v>
      </c>
      <c r="H13" s="50">
        <f t="shared" si="0"/>
        <v>487.16</v>
      </c>
      <c r="I13" s="51">
        <v>432.9066</v>
      </c>
      <c r="J13" s="52">
        <f t="shared" si="1"/>
        <v>210894.779256</v>
      </c>
      <c r="K13" s="52">
        <v>220470.65</v>
      </c>
      <c r="L13" s="53">
        <v>268.75</v>
      </c>
      <c r="M13" s="51">
        <v>784.4119</v>
      </c>
      <c r="N13" s="52">
        <f t="shared" si="2"/>
        <v>210810.698125</v>
      </c>
      <c r="O13" s="54">
        <v>203515.67</v>
      </c>
      <c r="P13" s="55">
        <f t="shared" si="3"/>
        <v>755.9100000000001</v>
      </c>
      <c r="Q13" s="52">
        <f t="shared" si="4"/>
        <v>423986.32</v>
      </c>
      <c r="R13" s="56" t="s">
        <v>30</v>
      </c>
      <c r="S13" s="57">
        <f>Q13+C42+D42+E42</f>
        <v>563106.8200000001</v>
      </c>
      <c r="T13" s="42">
        <f>Q13-F42</f>
        <v>370416.98</v>
      </c>
    </row>
    <row r="14" spans="1:20" s="43" customFormat="1" ht="12.75">
      <c r="A14" s="44">
        <v>3</v>
      </c>
      <c r="B14" s="58" t="s">
        <v>31</v>
      </c>
      <c r="C14" s="52">
        <v>405</v>
      </c>
      <c r="D14" s="59" t="s">
        <v>29</v>
      </c>
      <c r="E14" s="60">
        <f>C14</f>
        <v>405</v>
      </c>
      <c r="F14" s="55">
        <v>68.57</v>
      </c>
      <c r="G14" s="52">
        <v>0</v>
      </c>
      <c r="H14" s="50">
        <f t="shared" si="0"/>
        <v>473.57</v>
      </c>
      <c r="I14" s="51">
        <v>432.9066</v>
      </c>
      <c r="J14" s="52">
        <f t="shared" si="1"/>
        <v>205011.578562</v>
      </c>
      <c r="K14" s="52">
        <v>205011.56</v>
      </c>
      <c r="L14" s="50">
        <v>326.12</v>
      </c>
      <c r="M14" s="51">
        <v>784.4119</v>
      </c>
      <c r="N14" s="52">
        <f t="shared" si="2"/>
        <v>255812.40882799999</v>
      </c>
      <c r="O14" s="54">
        <v>254133.77</v>
      </c>
      <c r="P14" s="55">
        <f t="shared" si="3"/>
        <v>799.69</v>
      </c>
      <c r="Q14" s="52">
        <f t="shared" si="4"/>
        <v>459145.32999999996</v>
      </c>
      <c r="R14" s="61" t="s">
        <v>31</v>
      </c>
      <c r="S14" s="57">
        <f>Q14+C43+D43+E43</f>
        <v>599117.33</v>
      </c>
      <c r="T14" s="42">
        <f>Q14-F43</f>
        <v>410755.64999999997</v>
      </c>
    </row>
    <row r="15" spans="1:20" s="43" customFormat="1" ht="12.75">
      <c r="A15" s="62">
        <v>4</v>
      </c>
      <c r="B15" s="63" t="s">
        <v>32</v>
      </c>
      <c r="C15" s="52">
        <v>200.24</v>
      </c>
      <c r="D15" s="59" t="s">
        <v>29</v>
      </c>
      <c r="E15" s="51">
        <f>C15</f>
        <v>200.24</v>
      </c>
      <c r="F15" s="55">
        <v>60</v>
      </c>
      <c r="G15" s="52">
        <v>0</v>
      </c>
      <c r="H15" s="50">
        <f t="shared" si="0"/>
        <v>260.24</v>
      </c>
      <c r="I15" s="51">
        <v>432.9066</v>
      </c>
      <c r="J15" s="52">
        <f t="shared" si="1"/>
        <v>112659.613584</v>
      </c>
      <c r="K15" s="52">
        <v>112659.59</v>
      </c>
      <c r="L15" s="50">
        <v>147.02</v>
      </c>
      <c r="M15" s="51">
        <v>784.4119</v>
      </c>
      <c r="N15" s="52">
        <f t="shared" si="2"/>
        <v>115324.237538</v>
      </c>
      <c r="O15" s="54">
        <v>115324.24</v>
      </c>
      <c r="P15" s="55">
        <f t="shared" si="3"/>
        <v>407.26</v>
      </c>
      <c r="Q15" s="52">
        <f t="shared" si="4"/>
        <v>227983.83000000002</v>
      </c>
      <c r="R15" s="64" t="s">
        <v>32</v>
      </c>
      <c r="S15" s="57">
        <f aca="true" t="shared" si="5" ref="S15:S20">Q15+C45+D45+E45</f>
        <v>303157.83</v>
      </c>
      <c r="T15" s="42">
        <f aca="true" t="shared" si="6" ref="T15:T20">Q15-F45</f>
        <v>200906.27000000002</v>
      </c>
    </row>
    <row r="16" spans="1:20" s="43" customFormat="1" ht="12.75">
      <c r="A16" s="44">
        <v>5</v>
      </c>
      <c r="B16" s="58" t="s">
        <v>33</v>
      </c>
      <c r="C16" s="46">
        <v>182.12</v>
      </c>
      <c r="D16" s="65">
        <v>0.8334</v>
      </c>
      <c r="E16" s="60">
        <f>C16*D16</f>
        <v>151.778808</v>
      </c>
      <c r="F16" s="49">
        <v>60</v>
      </c>
      <c r="G16" s="46">
        <v>0</v>
      </c>
      <c r="H16" s="50">
        <f t="shared" si="0"/>
        <v>211.778808</v>
      </c>
      <c r="I16" s="51">
        <v>432.9066</v>
      </c>
      <c r="J16" s="52">
        <f t="shared" si="1"/>
        <v>91680.4437233328</v>
      </c>
      <c r="K16" s="52">
        <v>91680.42</v>
      </c>
      <c r="L16" s="50">
        <v>87</v>
      </c>
      <c r="M16" s="51">
        <v>784.4119</v>
      </c>
      <c r="N16" s="52">
        <f t="shared" si="2"/>
        <v>68243.83529999999</v>
      </c>
      <c r="O16" s="54">
        <v>68243.84</v>
      </c>
      <c r="P16" s="55">
        <f t="shared" si="3"/>
        <v>298.778808</v>
      </c>
      <c r="Q16" s="52">
        <f t="shared" si="4"/>
        <v>159924.26</v>
      </c>
      <c r="R16" s="61" t="s">
        <v>33</v>
      </c>
      <c r="S16" s="57">
        <f t="shared" si="5"/>
        <v>215297.26</v>
      </c>
      <c r="T16" s="42">
        <f t="shared" si="6"/>
        <v>139273.39</v>
      </c>
    </row>
    <row r="17" spans="1:20" s="43" customFormat="1" ht="12.75">
      <c r="A17" s="44">
        <v>6</v>
      </c>
      <c r="B17" s="58" t="s">
        <v>34</v>
      </c>
      <c r="C17" s="46">
        <v>203.6</v>
      </c>
      <c r="D17" s="65">
        <v>0.9639</v>
      </c>
      <c r="E17" s="60">
        <f>C17*D17</f>
        <v>196.25003999999998</v>
      </c>
      <c r="F17" s="49">
        <v>40</v>
      </c>
      <c r="G17" s="46">
        <v>0</v>
      </c>
      <c r="H17" s="50">
        <f t="shared" si="0"/>
        <v>236.25003999999998</v>
      </c>
      <c r="I17" s="51">
        <v>432.9066</v>
      </c>
      <c r="J17" s="52">
        <f t="shared" si="1"/>
        <v>102274.201566264</v>
      </c>
      <c r="K17" s="52">
        <v>102274.18</v>
      </c>
      <c r="L17" s="50">
        <v>111</v>
      </c>
      <c r="M17" s="51">
        <v>784.4119</v>
      </c>
      <c r="N17" s="52">
        <f t="shared" si="2"/>
        <v>87069.7209</v>
      </c>
      <c r="O17" s="54">
        <v>87069.73</v>
      </c>
      <c r="P17" s="55">
        <f t="shared" si="3"/>
        <v>347.25004</v>
      </c>
      <c r="Q17" s="52">
        <f t="shared" si="4"/>
        <v>189343.90999999997</v>
      </c>
      <c r="R17" s="61" t="s">
        <v>34</v>
      </c>
      <c r="S17" s="57">
        <f t="shared" si="5"/>
        <v>247420.90999999997</v>
      </c>
      <c r="T17" s="42">
        <f t="shared" si="6"/>
        <v>168183.74999999997</v>
      </c>
    </row>
    <row r="18" spans="1:20" s="43" customFormat="1" ht="12.75">
      <c r="A18" s="44">
        <v>7</v>
      </c>
      <c r="B18" s="58" t="s">
        <v>35</v>
      </c>
      <c r="C18" s="46">
        <v>40</v>
      </c>
      <c r="D18" s="65" t="s">
        <v>29</v>
      </c>
      <c r="E18" s="60">
        <f>C18</f>
        <v>40</v>
      </c>
      <c r="F18" s="49">
        <v>34.28</v>
      </c>
      <c r="G18" s="46">
        <v>0</v>
      </c>
      <c r="H18" s="50">
        <f t="shared" si="0"/>
        <v>74.28</v>
      </c>
      <c r="I18" s="51">
        <v>432.9066</v>
      </c>
      <c r="J18" s="52">
        <f t="shared" si="1"/>
        <v>32156.302248000004</v>
      </c>
      <c r="K18" s="52">
        <v>32156.29</v>
      </c>
      <c r="L18" s="50">
        <v>84.67</v>
      </c>
      <c r="M18" s="51">
        <v>784.4119</v>
      </c>
      <c r="N18" s="52">
        <f t="shared" si="2"/>
        <v>66416.155573</v>
      </c>
      <c r="O18" s="54">
        <v>66416.17</v>
      </c>
      <c r="P18" s="55">
        <f t="shared" si="3"/>
        <v>158.95</v>
      </c>
      <c r="Q18" s="52">
        <f t="shared" si="4"/>
        <v>98572.45999999999</v>
      </c>
      <c r="R18" s="61" t="s">
        <v>35</v>
      </c>
      <c r="S18" s="57">
        <f t="shared" si="5"/>
        <v>142380.46</v>
      </c>
      <c r="T18" s="42">
        <f t="shared" si="6"/>
        <v>81929.68999999999</v>
      </c>
    </row>
    <row r="19" spans="1:20" s="43" customFormat="1" ht="12.75">
      <c r="A19" s="44">
        <v>8</v>
      </c>
      <c r="B19" s="58" t="s">
        <v>36</v>
      </c>
      <c r="C19" s="46">
        <v>84.1</v>
      </c>
      <c r="D19" s="65">
        <v>0.5641</v>
      </c>
      <c r="E19" s="60">
        <f>C19*D19</f>
        <v>47.44081</v>
      </c>
      <c r="F19" s="49">
        <v>60</v>
      </c>
      <c r="G19" s="46">
        <v>0</v>
      </c>
      <c r="H19" s="66">
        <f t="shared" si="0"/>
        <v>107.44081</v>
      </c>
      <c r="I19" s="51">
        <v>432.9066</v>
      </c>
      <c r="J19" s="52">
        <f t="shared" si="1"/>
        <v>46511.835758346</v>
      </c>
      <c r="K19" s="46">
        <v>46511.81</v>
      </c>
      <c r="L19" s="66">
        <v>55</v>
      </c>
      <c r="M19" s="51">
        <v>784.4119</v>
      </c>
      <c r="N19" s="52">
        <f t="shared" si="2"/>
        <v>43142.6545</v>
      </c>
      <c r="O19" s="67">
        <v>43142.66</v>
      </c>
      <c r="P19" s="49">
        <f t="shared" si="3"/>
        <v>162.44081</v>
      </c>
      <c r="Q19" s="46">
        <f t="shared" si="4"/>
        <v>89654.47</v>
      </c>
      <c r="R19" s="61" t="s">
        <v>36</v>
      </c>
      <c r="S19" s="57">
        <f t="shared" si="5"/>
        <v>118010.97</v>
      </c>
      <c r="T19" s="42">
        <f t="shared" si="6"/>
        <v>79130.16</v>
      </c>
    </row>
    <row r="20" spans="1:20" s="43" customFormat="1" ht="12.75">
      <c r="A20" s="68">
        <v>9</v>
      </c>
      <c r="B20" s="69" t="s">
        <v>37</v>
      </c>
      <c r="C20" s="70">
        <v>92.8</v>
      </c>
      <c r="D20" s="71">
        <v>0.6154</v>
      </c>
      <c r="E20" s="72">
        <f>C20*D20</f>
        <v>57.10911999999999</v>
      </c>
      <c r="F20" s="73">
        <v>45.71</v>
      </c>
      <c r="G20" s="70">
        <v>0</v>
      </c>
      <c r="H20" s="74">
        <f t="shared" si="0"/>
        <v>102.81912</v>
      </c>
      <c r="I20" s="75">
        <v>432.9066</v>
      </c>
      <c r="J20" s="76">
        <f t="shared" si="1"/>
        <v>44511.075654192</v>
      </c>
      <c r="K20" s="76">
        <v>44511.06</v>
      </c>
      <c r="L20" s="74">
        <v>44.14</v>
      </c>
      <c r="M20" s="75">
        <v>784.4119</v>
      </c>
      <c r="N20" s="76">
        <f t="shared" si="2"/>
        <v>34623.941266</v>
      </c>
      <c r="O20" s="77">
        <v>34623.95</v>
      </c>
      <c r="P20" s="78">
        <f t="shared" si="3"/>
        <v>146.95911999999998</v>
      </c>
      <c r="Q20" s="76">
        <f t="shared" si="4"/>
        <v>79135.01</v>
      </c>
      <c r="R20" s="79" t="s">
        <v>38</v>
      </c>
      <c r="S20" s="80">
        <f t="shared" si="5"/>
        <v>106522.51</v>
      </c>
      <c r="T20" s="42">
        <f t="shared" si="6"/>
        <v>68951.18</v>
      </c>
    </row>
    <row r="21" spans="2:20" ht="15">
      <c r="B21" s="81" t="s">
        <v>12</v>
      </c>
      <c r="C21" s="82"/>
      <c r="E21" s="83"/>
      <c r="F21" s="83"/>
      <c r="G21" s="83"/>
      <c r="H21" s="84">
        <f>SUM(H12:H20)</f>
        <v>2487.1087780000003</v>
      </c>
      <c r="I21" s="83"/>
      <c r="J21" s="83"/>
      <c r="K21" s="85">
        <f>SUM(K12:K20)</f>
        <v>1086261.5</v>
      </c>
      <c r="L21" s="84">
        <f>SUM(L12:L20)</f>
        <v>1396.2500000000002</v>
      </c>
      <c r="M21" s="83"/>
      <c r="N21" s="83"/>
      <c r="O21" s="85">
        <f>SUM(O12:O20)</f>
        <v>1086261.5</v>
      </c>
      <c r="P21" s="85">
        <f>SUM(P12:P20)</f>
        <v>3883.3587780000003</v>
      </c>
      <c r="Q21" s="85">
        <f>SUM(Q12:Q20)</f>
        <v>2172523</v>
      </c>
      <c r="R21" s="86" t="s">
        <v>12</v>
      </c>
      <c r="S21" s="87">
        <f>SUM(S12:S20)</f>
        <v>2908089.0000000005</v>
      </c>
      <c r="T21" s="83">
        <f>SUM(T12:T20)</f>
        <v>1903000</v>
      </c>
    </row>
    <row r="22" spans="2:18" ht="15">
      <c r="B22" s="81"/>
      <c r="C22" s="82"/>
      <c r="E22" s="83"/>
      <c r="F22" s="83"/>
      <c r="G22" s="83"/>
      <c r="H22" s="84"/>
      <c r="I22" s="83"/>
      <c r="J22" s="83"/>
      <c r="K22" s="85"/>
      <c r="L22" s="84"/>
      <c r="M22" s="83"/>
      <c r="N22" s="83"/>
      <c r="O22" s="85"/>
      <c r="P22" s="85"/>
      <c r="Q22" s="85"/>
      <c r="R22" s="88"/>
    </row>
    <row r="23" spans="2:3" ht="15">
      <c r="B23" s="89" t="s">
        <v>39</v>
      </c>
      <c r="C23" s="90"/>
    </row>
    <row r="24" spans="2:15" ht="15">
      <c r="B24" s="89" t="s">
        <v>40</v>
      </c>
      <c r="C24" s="91">
        <v>1086261.5</v>
      </c>
      <c r="D24" s="92" t="s">
        <v>41</v>
      </c>
      <c r="H24" s="83"/>
      <c r="O24" s="93"/>
    </row>
    <row r="25" spans="2:13" ht="15">
      <c r="B25" s="89"/>
      <c r="C25" s="91"/>
      <c r="H25" s="83"/>
      <c r="M25" s="83"/>
    </row>
    <row r="26" spans="2:13" ht="15">
      <c r="B26" s="89" t="s">
        <v>39</v>
      </c>
      <c r="C26" s="91"/>
      <c r="H26" s="83"/>
      <c r="M26" s="83"/>
    </row>
    <row r="27" spans="2:13" ht="15">
      <c r="B27" s="89" t="s">
        <v>42</v>
      </c>
      <c r="C27" s="91">
        <v>1086261.5</v>
      </c>
      <c r="D27" s="92" t="s">
        <v>41</v>
      </c>
      <c r="H27" s="83"/>
      <c r="J27" s="94"/>
      <c r="K27" s="94"/>
      <c r="M27" s="83"/>
    </row>
    <row r="28" spans="2:13" ht="15">
      <c r="B28" s="82"/>
      <c r="C28" s="95"/>
      <c r="H28" s="83"/>
      <c r="M28" s="83"/>
    </row>
    <row r="29" spans="2:13" ht="15.75">
      <c r="B29" s="89" t="s">
        <v>43</v>
      </c>
      <c r="C29" s="96">
        <f>C24+C27</f>
        <v>2172523</v>
      </c>
      <c r="D29" s="89" t="s">
        <v>41</v>
      </c>
      <c r="H29" s="83"/>
      <c r="M29" s="83"/>
    </row>
    <row r="30" spans="8:13" ht="12.75">
      <c r="H30" s="83"/>
      <c r="M30" s="83"/>
    </row>
    <row r="31" spans="8:13" ht="12.75">
      <c r="H31" s="83"/>
      <c r="M31" s="83"/>
    </row>
    <row r="32" spans="2:8" ht="12.75">
      <c r="B32" s="97" t="s">
        <v>44</v>
      </c>
      <c r="C32" s="98">
        <v>2973000</v>
      </c>
      <c r="H32" s="83"/>
    </row>
    <row r="33" spans="2:3" ht="12.75">
      <c r="B33" s="97" t="s">
        <v>45</v>
      </c>
      <c r="C33" s="98">
        <v>800477</v>
      </c>
    </row>
    <row r="34" spans="2:3" ht="12.75">
      <c r="B34" s="97" t="s">
        <v>46</v>
      </c>
      <c r="C34" s="98">
        <f>C32-C33</f>
        <v>2172523</v>
      </c>
    </row>
    <row r="35" spans="2:3" ht="12.75">
      <c r="B35" s="99" t="s">
        <v>47</v>
      </c>
      <c r="C35" s="87">
        <v>64911</v>
      </c>
    </row>
    <row r="36" ht="18">
      <c r="O36" s="100" t="s">
        <v>48</v>
      </c>
    </row>
    <row r="37" spans="1:16" ht="12.75">
      <c r="A37" s="101"/>
      <c r="B37" s="101"/>
      <c r="C37" s="5"/>
      <c r="D37" s="6"/>
      <c r="E37" s="7"/>
      <c r="F37" s="7"/>
      <c r="G37" s="6"/>
      <c r="H37" s="8"/>
      <c r="I37" s="7"/>
      <c r="J37" s="6"/>
      <c r="K37" s="7"/>
      <c r="L37" s="8"/>
      <c r="M37" s="7"/>
      <c r="N37" s="6"/>
      <c r="O37" s="7"/>
      <c r="P37" s="11"/>
    </row>
    <row r="38" spans="1:16" ht="12.75">
      <c r="A38" s="102" t="s">
        <v>7</v>
      </c>
      <c r="B38" s="13" t="s">
        <v>6</v>
      </c>
      <c r="C38" s="14" t="s">
        <v>49</v>
      </c>
      <c r="D38" s="15" t="s">
        <v>50</v>
      </c>
      <c r="E38" s="13" t="s">
        <v>51</v>
      </c>
      <c r="F38" s="13" t="s">
        <v>23</v>
      </c>
      <c r="G38" s="15" t="s">
        <v>52</v>
      </c>
      <c r="H38" s="12" t="s">
        <v>53</v>
      </c>
      <c r="I38" s="19" t="s">
        <v>54</v>
      </c>
      <c r="J38" s="15" t="s">
        <v>55</v>
      </c>
      <c r="K38" s="13" t="s">
        <v>56</v>
      </c>
      <c r="L38" s="19" t="s">
        <v>57</v>
      </c>
      <c r="M38" s="19" t="s">
        <v>58</v>
      </c>
      <c r="N38" s="15" t="s">
        <v>59</v>
      </c>
      <c r="O38" s="13" t="s">
        <v>60</v>
      </c>
      <c r="P38" s="103" t="s">
        <v>61</v>
      </c>
    </row>
    <row r="39" spans="1:17" s="105" customFormat="1" ht="12.75">
      <c r="A39" s="102" t="s">
        <v>17</v>
      </c>
      <c r="B39" s="12"/>
      <c r="C39" s="104">
        <v>2018</v>
      </c>
      <c r="D39" s="104">
        <v>2018</v>
      </c>
      <c r="E39" s="104">
        <v>2018</v>
      </c>
      <c r="F39" s="104">
        <v>2018</v>
      </c>
      <c r="G39" s="104">
        <v>2018</v>
      </c>
      <c r="H39" s="104">
        <v>2018</v>
      </c>
      <c r="I39" s="104">
        <v>2018</v>
      </c>
      <c r="J39" s="104">
        <v>2018</v>
      </c>
      <c r="K39" s="104">
        <v>2018</v>
      </c>
      <c r="L39" s="104">
        <v>2018</v>
      </c>
      <c r="M39" s="104">
        <v>2018</v>
      </c>
      <c r="N39" s="104">
        <v>2018</v>
      </c>
      <c r="O39" s="104">
        <v>2018</v>
      </c>
      <c r="P39" s="103" t="s">
        <v>62</v>
      </c>
      <c r="Q39" s="105" t="s">
        <v>63</v>
      </c>
    </row>
    <row r="40" spans="1:21" ht="12.75">
      <c r="A40" s="106"/>
      <c r="B40" s="25"/>
      <c r="C40" s="26"/>
      <c r="D40" s="27"/>
      <c r="E40" s="25"/>
      <c r="F40" s="13"/>
      <c r="G40" s="15"/>
      <c r="H40" s="16"/>
      <c r="I40" s="25"/>
      <c r="J40" s="27"/>
      <c r="K40" s="25"/>
      <c r="L40" s="107"/>
      <c r="M40" s="13"/>
      <c r="N40" s="15"/>
      <c r="O40" s="13"/>
      <c r="P40" s="103">
        <v>2018</v>
      </c>
      <c r="U40" s="94"/>
    </row>
    <row r="41" spans="1:21" ht="12.75">
      <c r="A41" s="32">
        <v>1</v>
      </c>
      <c r="B41" s="108" t="s">
        <v>28</v>
      </c>
      <c r="C41" s="109">
        <v>42292</v>
      </c>
      <c r="D41" s="110">
        <v>61227</v>
      </c>
      <c r="E41" s="111">
        <v>64778.5</v>
      </c>
      <c r="F41" s="109">
        <v>61324.48</v>
      </c>
      <c r="G41" s="109">
        <f>54747.59+15</f>
        <v>54762.59</v>
      </c>
      <c r="H41" s="109">
        <f>54747.59+15+1.7</f>
        <v>54764.28999999999</v>
      </c>
      <c r="I41" s="109">
        <f>55299.36-9.59</f>
        <v>55289.770000000004</v>
      </c>
      <c r="J41" s="109">
        <f>55299.36-9.59</f>
        <v>55289.770000000004</v>
      </c>
      <c r="K41" s="109">
        <f>55299.36-9.59</f>
        <v>55289.770000000004</v>
      </c>
      <c r="L41" s="109">
        <f>55299.36-9.59-1261.4</f>
        <v>54028.37</v>
      </c>
      <c r="M41" s="109">
        <f>55299.36-9.59-1262.4</f>
        <v>54027.37</v>
      </c>
      <c r="N41" s="112">
        <f>S12-M41-L41-K41-J41-I41-H41-G41-F41-E41-D41-C41</f>
        <v>1</v>
      </c>
      <c r="O41" s="113">
        <f aca="true" t="shared" si="7" ref="O41:O51">SUM(C41:N41)</f>
        <v>613074.91</v>
      </c>
      <c r="P41" s="114">
        <f aca="true" t="shared" si="8" ref="P41:P50">C41+D41+E41</f>
        <v>168297.5</v>
      </c>
      <c r="Q41" s="115">
        <f aca="true" t="shared" si="9" ref="Q41:Q50">F41+G41+H41+I41+J41+K41+L41+M41+N41</f>
        <v>444777.41000000003</v>
      </c>
      <c r="R41" s="116" t="s">
        <v>28</v>
      </c>
      <c r="S41" s="83"/>
      <c r="U41" s="83"/>
    </row>
    <row r="42" spans="1:21" ht="12.75">
      <c r="A42" s="44">
        <v>2</v>
      </c>
      <c r="B42" s="117" t="s">
        <v>30</v>
      </c>
      <c r="C42" s="118">
        <v>43583</v>
      </c>
      <c r="D42" s="119">
        <v>43595</v>
      </c>
      <c r="E42" s="120">
        <v>51942.5</v>
      </c>
      <c r="F42" s="118">
        <v>53569.34</v>
      </c>
      <c r="G42" s="118">
        <f>50285.44+15</f>
        <v>50300.44</v>
      </c>
      <c r="H42" s="118">
        <f>50285.44+15+1.7</f>
        <v>50302.14</v>
      </c>
      <c r="I42" s="118">
        <f>50792.23-9.59</f>
        <v>50782.64000000001</v>
      </c>
      <c r="J42" s="118">
        <f>50792.23-9.59</f>
        <v>50782.64000000001</v>
      </c>
      <c r="K42" s="118">
        <f>50792.23-9.59</f>
        <v>50782.64000000001</v>
      </c>
      <c r="L42" s="120">
        <f>50792.23-9.59+7950.5</f>
        <v>58733.14000000001</v>
      </c>
      <c r="M42" s="118">
        <f>50792.23-9.59+7949.7</f>
        <v>58732.340000000004</v>
      </c>
      <c r="N42" s="121">
        <f>S13-M42-L42-K42-J42-I42-H42-G42-F42-E42-D42-C42</f>
        <v>0.9999999999708962</v>
      </c>
      <c r="O42" s="122">
        <f t="shared" si="7"/>
        <v>563106.8200000001</v>
      </c>
      <c r="P42" s="114">
        <f t="shared" si="8"/>
        <v>139120.5</v>
      </c>
      <c r="Q42" s="115">
        <f t="shared" si="9"/>
        <v>423986.32000000007</v>
      </c>
      <c r="R42" s="123" t="s">
        <v>30</v>
      </c>
      <c r="S42" s="83"/>
      <c r="U42" s="83"/>
    </row>
    <row r="43" spans="1:21" ht="12.75">
      <c r="A43" s="44">
        <v>3</v>
      </c>
      <c r="B43" s="124" t="s">
        <v>31</v>
      </c>
      <c r="C43" s="125">
        <v>45316</v>
      </c>
      <c r="D43" s="126">
        <v>45330.5</v>
      </c>
      <c r="E43" s="120">
        <v>49325.5</v>
      </c>
      <c r="F43" s="118">
        <v>48389.68</v>
      </c>
      <c r="G43" s="118">
        <f>53501.17+15</f>
        <v>53516.17</v>
      </c>
      <c r="H43" s="118">
        <f>53501.17+15+1.7</f>
        <v>53517.869999999995</v>
      </c>
      <c r="I43" s="118">
        <f>54040.38-9.59</f>
        <v>54030.79</v>
      </c>
      <c r="J43" s="118">
        <f>54040.38-9.59</f>
        <v>54030.79</v>
      </c>
      <c r="K43" s="118">
        <f>54040.38-9.59</f>
        <v>54030.79</v>
      </c>
      <c r="L43" s="120">
        <f>54040.38-9.59+16783.5</f>
        <v>70814.29000000001</v>
      </c>
      <c r="M43" s="118">
        <f>54040.38-9.59+16783.16</f>
        <v>70813.95</v>
      </c>
      <c r="N43" s="121">
        <f>S14-M43-L43-K43-J43-I43-H43-G43-F43-E43-D43-C43</f>
        <v>1.0000000000582077</v>
      </c>
      <c r="O43" s="122">
        <f t="shared" si="7"/>
        <v>599117.3299999998</v>
      </c>
      <c r="P43" s="114">
        <f t="shared" si="8"/>
        <v>139972</v>
      </c>
      <c r="Q43" s="115">
        <f t="shared" si="9"/>
        <v>459145.3300000001</v>
      </c>
      <c r="R43" s="116" t="s">
        <v>31</v>
      </c>
      <c r="S43" s="83"/>
      <c r="U43" s="83"/>
    </row>
    <row r="44" spans="1:21" ht="12.75">
      <c r="A44" s="44">
        <v>4</v>
      </c>
      <c r="B44" s="124" t="s">
        <v>64</v>
      </c>
      <c r="C44" s="118">
        <v>32448</v>
      </c>
      <c r="D44" s="127">
        <v>32463</v>
      </c>
      <c r="E44" s="120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20">
        <v>0</v>
      </c>
      <c r="M44" s="118">
        <v>0</v>
      </c>
      <c r="N44" s="121">
        <v>0</v>
      </c>
      <c r="O44" s="122">
        <f t="shared" si="7"/>
        <v>64911</v>
      </c>
      <c r="P44" s="114">
        <f t="shared" si="8"/>
        <v>64911</v>
      </c>
      <c r="Q44" s="115">
        <f t="shared" si="9"/>
        <v>0</v>
      </c>
      <c r="R44" s="116" t="s">
        <v>64</v>
      </c>
      <c r="S44" s="83"/>
      <c r="U44" s="83"/>
    </row>
    <row r="45" spans="1:21" ht="12.75">
      <c r="A45" s="44">
        <v>5</v>
      </c>
      <c r="B45" s="128" t="s">
        <v>32</v>
      </c>
      <c r="C45" s="118">
        <v>27126</v>
      </c>
      <c r="D45" s="119">
        <v>29778</v>
      </c>
      <c r="E45" s="120">
        <v>18270</v>
      </c>
      <c r="F45" s="118">
        <v>27077.56</v>
      </c>
      <c r="G45" s="118">
        <f>27071.99+15</f>
        <v>27086.99</v>
      </c>
      <c r="H45" s="118">
        <f>27071.99+15+1.7</f>
        <v>27088.690000000002</v>
      </c>
      <c r="I45" s="118">
        <f>27344.84-9.59</f>
        <v>27335.25</v>
      </c>
      <c r="J45" s="118">
        <f>27344.84-9.59</f>
        <v>27335.25</v>
      </c>
      <c r="K45" s="118">
        <f>27344.84-9.59</f>
        <v>27335.25</v>
      </c>
      <c r="L45" s="120">
        <f>27344.84-9.59+5027</f>
        <v>32362.25</v>
      </c>
      <c r="M45" s="118">
        <f>27344.84-9.59+5026.34</f>
        <v>32361.59</v>
      </c>
      <c r="N45" s="121">
        <f aca="true" t="shared" si="10" ref="N45:N50">S15-M45-L45-K45-J45-I45-H45-G45-F45-E45-D45-C45</f>
        <v>0.9999999999854481</v>
      </c>
      <c r="O45" s="122">
        <f t="shared" si="7"/>
        <v>303157.83</v>
      </c>
      <c r="P45" s="114">
        <f t="shared" si="8"/>
        <v>75174</v>
      </c>
      <c r="Q45" s="115">
        <f t="shared" si="9"/>
        <v>227983.82999999996</v>
      </c>
      <c r="R45" s="116" t="s">
        <v>32</v>
      </c>
      <c r="S45" s="83"/>
      <c r="U45" s="83"/>
    </row>
    <row r="46" spans="1:21" ht="12.75">
      <c r="A46" s="44">
        <v>6</v>
      </c>
      <c r="B46" s="124" t="s">
        <v>33</v>
      </c>
      <c r="C46" s="118">
        <v>17408</v>
      </c>
      <c r="D46" s="127">
        <v>17413</v>
      </c>
      <c r="E46" s="120">
        <v>20552</v>
      </c>
      <c r="F46" s="118">
        <v>20650.87</v>
      </c>
      <c r="G46" s="118">
        <f>19226.04+15</f>
        <v>19241.04</v>
      </c>
      <c r="H46" s="118">
        <f>19226.04+15+1.7</f>
        <v>19242.74</v>
      </c>
      <c r="I46" s="118">
        <f>19419.81-9.59</f>
        <v>19410.22</v>
      </c>
      <c r="J46" s="118">
        <f>19419.81-9.59</f>
        <v>19410.22</v>
      </c>
      <c r="K46" s="118">
        <f>19419.81-9.59</f>
        <v>19410.22</v>
      </c>
      <c r="L46" s="120">
        <f>19419.81-9.59+1869.25</f>
        <v>21279.47</v>
      </c>
      <c r="M46" s="118">
        <f>19419.81-9.59+1868.26</f>
        <v>21278.48</v>
      </c>
      <c r="N46" s="121">
        <f t="shared" si="10"/>
        <v>1</v>
      </c>
      <c r="O46" s="122">
        <f t="shared" si="7"/>
        <v>215297.26</v>
      </c>
      <c r="P46" s="114">
        <f t="shared" si="8"/>
        <v>55373</v>
      </c>
      <c r="Q46" s="115">
        <f t="shared" si="9"/>
        <v>159924.26000000004</v>
      </c>
      <c r="R46" s="116" t="s">
        <v>33</v>
      </c>
      <c r="S46" s="83"/>
      <c r="U46" s="83"/>
    </row>
    <row r="47" spans="1:21" ht="12.75">
      <c r="A47" s="44">
        <v>7</v>
      </c>
      <c r="B47" s="124" t="s">
        <v>34</v>
      </c>
      <c r="C47" s="118">
        <v>17987</v>
      </c>
      <c r="D47" s="119">
        <v>22404</v>
      </c>
      <c r="E47" s="120">
        <v>17686</v>
      </c>
      <c r="F47" s="118">
        <v>21160.16</v>
      </c>
      <c r="G47" s="118">
        <f>22094.69+15</f>
        <v>22109.69</v>
      </c>
      <c r="H47" s="118">
        <f>22094.69+15+1.7</f>
        <v>22111.39</v>
      </c>
      <c r="I47" s="118">
        <f>22317.37-9.59</f>
        <v>22307.78</v>
      </c>
      <c r="J47" s="118">
        <f>22317.37-9.59</f>
        <v>22307.78</v>
      </c>
      <c r="K47" s="118">
        <f>22317.37-9.59</f>
        <v>22307.78</v>
      </c>
      <c r="L47" s="120">
        <f>22317.37-9.59+6211.88</f>
        <v>28519.66</v>
      </c>
      <c r="M47" s="118">
        <f>22317.37-9.59+6210.89</f>
        <v>28518.67</v>
      </c>
      <c r="N47" s="121">
        <f t="shared" si="10"/>
        <v>0.9999999999854481</v>
      </c>
      <c r="O47" s="122">
        <f t="shared" si="7"/>
        <v>247420.91000000003</v>
      </c>
      <c r="P47" s="114">
        <f t="shared" si="8"/>
        <v>58077</v>
      </c>
      <c r="Q47" s="115">
        <f t="shared" si="9"/>
        <v>189343.90999999997</v>
      </c>
      <c r="R47" s="116" t="s">
        <v>34</v>
      </c>
      <c r="S47" s="83"/>
      <c r="U47" s="83"/>
    </row>
    <row r="48" spans="1:21" ht="12.75">
      <c r="A48" s="44">
        <v>8</v>
      </c>
      <c r="B48" s="124" t="s">
        <v>35</v>
      </c>
      <c r="C48" s="118">
        <v>14016</v>
      </c>
      <c r="D48" s="119">
        <v>14041</v>
      </c>
      <c r="E48" s="120">
        <v>15751</v>
      </c>
      <c r="F48" s="118">
        <v>16642.77</v>
      </c>
      <c r="G48" s="118">
        <f>12714.57+15</f>
        <v>12729.57</v>
      </c>
      <c r="H48" s="118">
        <f>12714.57+15+1.7</f>
        <v>12731.27</v>
      </c>
      <c r="I48" s="118">
        <f>12842.72-9.59</f>
        <v>12833.13</v>
      </c>
      <c r="J48" s="118">
        <f>12842.72-9.59</f>
        <v>12833.13</v>
      </c>
      <c r="K48" s="118">
        <f>12842.72-9.59</f>
        <v>12833.13</v>
      </c>
      <c r="L48" s="120">
        <f>12842.72-9.59-3848.4</f>
        <v>8984.73</v>
      </c>
      <c r="M48" s="118">
        <f>12842.72-9.59-3849.4</f>
        <v>8983.73</v>
      </c>
      <c r="N48" s="121">
        <f t="shared" si="10"/>
        <v>0.9999999999708962</v>
      </c>
      <c r="O48" s="122">
        <f t="shared" si="7"/>
        <v>142380.46</v>
      </c>
      <c r="P48" s="114">
        <f t="shared" si="8"/>
        <v>43808</v>
      </c>
      <c r="Q48" s="115">
        <f t="shared" si="9"/>
        <v>98572.45999999996</v>
      </c>
      <c r="R48" s="116" t="s">
        <v>35</v>
      </c>
      <c r="S48" s="83"/>
      <c r="U48" s="83"/>
    </row>
    <row r="49" spans="1:21" ht="12.75">
      <c r="A49" s="44">
        <v>9</v>
      </c>
      <c r="B49" s="124" t="s">
        <v>36</v>
      </c>
      <c r="C49" s="118">
        <v>8921</v>
      </c>
      <c r="D49" s="119">
        <v>8925</v>
      </c>
      <c r="E49" s="120">
        <v>10510.5</v>
      </c>
      <c r="F49" s="118">
        <v>10524.31</v>
      </c>
      <c r="G49" s="118">
        <f>10538.38+15</f>
        <v>10553.38</v>
      </c>
      <c r="H49" s="118">
        <f>10538.38+15+1.7</f>
        <v>10555.08</v>
      </c>
      <c r="I49" s="118">
        <f>10644.59-9.59</f>
        <v>10635</v>
      </c>
      <c r="J49" s="118">
        <f>10644.59-9.59</f>
        <v>10635</v>
      </c>
      <c r="K49" s="118">
        <f>10644.59-9.59</f>
        <v>10635</v>
      </c>
      <c r="L49" s="120">
        <f>10644.59-9.59+2423.35</f>
        <v>13058.35</v>
      </c>
      <c r="M49" s="118">
        <f>10644.59-9.59+2422.35</f>
        <v>13057.35</v>
      </c>
      <c r="N49" s="121">
        <f t="shared" si="10"/>
        <v>0.999999999992724</v>
      </c>
      <c r="O49" s="122">
        <f t="shared" si="7"/>
        <v>118010.97</v>
      </c>
      <c r="P49" s="114">
        <f t="shared" si="8"/>
        <v>28356.5</v>
      </c>
      <c r="Q49" s="115">
        <f t="shared" si="9"/>
        <v>89654.47</v>
      </c>
      <c r="R49" s="116" t="s">
        <v>36</v>
      </c>
      <c r="S49" s="83"/>
      <c r="U49" s="83"/>
    </row>
    <row r="50" spans="1:21" ht="12.75">
      <c r="A50" s="68">
        <v>10</v>
      </c>
      <c r="B50" s="69" t="s">
        <v>37</v>
      </c>
      <c r="C50" s="129">
        <v>8598</v>
      </c>
      <c r="D50" s="130">
        <v>8631.5</v>
      </c>
      <c r="E50" s="131">
        <v>10158</v>
      </c>
      <c r="F50" s="129">
        <v>10183.83</v>
      </c>
      <c r="G50" s="129">
        <f>9512.46+15</f>
        <v>9527.46</v>
      </c>
      <c r="H50" s="129">
        <f>9512.46+15+1.8</f>
        <v>9529.259999999998</v>
      </c>
      <c r="I50" s="129">
        <f>9608.33-9.59</f>
        <v>9598.74</v>
      </c>
      <c r="J50" s="129">
        <f>9608.33-9.59</f>
        <v>9598.74</v>
      </c>
      <c r="K50" s="129">
        <f>9608.33-9.59</f>
        <v>9598.74</v>
      </c>
      <c r="L50" s="131">
        <f>9608.33-9.59+950</f>
        <v>10548.74</v>
      </c>
      <c r="M50" s="129">
        <f>9608.33-9.59+949.76</f>
        <v>10548.5</v>
      </c>
      <c r="N50" s="132">
        <f t="shared" si="10"/>
        <v>0.9999999999781721</v>
      </c>
      <c r="O50" s="133">
        <f t="shared" si="7"/>
        <v>106522.51000000001</v>
      </c>
      <c r="P50" s="114">
        <f t="shared" si="8"/>
        <v>27387.5</v>
      </c>
      <c r="Q50" s="115">
        <f t="shared" si="9"/>
        <v>79135.00999999998</v>
      </c>
      <c r="R50" s="116" t="s">
        <v>38</v>
      </c>
      <c r="S50" s="83"/>
      <c r="U50" s="83"/>
    </row>
    <row r="51" spans="2:17" s="134" customFormat="1" ht="15.75">
      <c r="B51" s="135" t="s">
        <v>12</v>
      </c>
      <c r="C51" s="136">
        <f aca="true" t="shared" si="11" ref="C51:N51">SUM(C41:C50)</f>
        <v>257695</v>
      </c>
      <c r="D51" s="136">
        <f t="shared" si="11"/>
        <v>283808</v>
      </c>
      <c r="E51" s="136">
        <f t="shared" si="11"/>
        <v>258974</v>
      </c>
      <c r="F51" s="136">
        <f t="shared" si="11"/>
        <v>269523</v>
      </c>
      <c r="G51" s="136">
        <f t="shared" si="11"/>
        <v>259827.33000000002</v>
      </c>
      <c r="H51" s="136">
        <f t="shared" si="11"/>
        <v>259842.72999999998</v>
      </c>
      <c r="I51" s="136">
        <f t="shared" si="11"/>
        <v>262223.32</v>
      </c>
      <c r="J51" s="136">
        <f t="shared" si="11"/>
        <v>262223.32</v>
      </c>
      <c r="K51" s="136">
        <f t="shared" si="11"/>
        <v>262223.32</v>
      </c>
      <c r="L51" s="136">
        <f t="shared" si="11"/>
        <v>298328.99999999994</v>
      </c>
      <c r="M51" s="136">
        <f t="shared" si="11"/>
        <v>298321.98</v>
      </c>
      <c r="N51" s="136">
        <f t="shared" si="11"/>
        <v>8.999999999941792</v>
      </c>
      <c r="O51" s="136">
        <f t="shared" si="7"/>
        <v>2973000</v>
      </c>
      <c r="P51" s="137">
        <f>SUM(P41:P50)</f>
        <v>800477</v>
      </c>
      <c r="Q51" s="136">
        <f>SUM(Q41:Q50)</f>
        <v>2172523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dcterms:modified xsi:type="dcterms:W3CDTF">2018-10-03T05:10:21Z</dcterms:modified>
  <cp:category/>
  <cp:version/>
  <cp:contentType/>
  <cp:contentStatus/>
</cp:coreProperties>
</file>